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_2025 Equalization\Studies\Final Analysis\"/>
    </mc:Choice>
  </mc:AlternateContent>
  <xr:revisionPtr revIDLastSave="0" documentId="13_ncr:1_{BCC53C8C-6608-4E59-93B7-364055353CBE}" xr6:coauthVersionLast="47" xr6:coauthVersionMax="47" xr10:uidLastSave="{00000000-0000-0000-0000-000000000000}"/>
  <bookViews>
    <workbookView xWindow="-120" yWindow="-120" windowWidth="29040" windowHeight="15720" xr2:uid="{8BD47B3D-1177-45F2-ACA4-265B17435C59}"/>
  </bookViews>
  <sheets>
    <sheet name="E.C.F. Analysi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2" l="1"/>
  <c r="P27" i="2" s="1"/>
  <c r="I27" i="2"/>
  <c r="I13" i="2"/>
  <c r="L13" i="2"/>
  <c r="P13" i="2" s="1"/>
  <c r="N13" i="2"/>
  <c r="I10" i="2"/>
  <c r="L10" i="2"/>
  <c r="N10" i="2" s="1"/>
  <c r="P10" i="2"/>
  <c r="I14" i="2"/>
  <c r="L14" i="2"/>
  <c r="N14" i="2"/>
  <c r="P14" i="2"/>
  <c r="I4" i="2"/>
  <c r="L4" i="2"/>
  <c r="N4" i="2"/>
  <c r="P4" i="2"/>
  <c r="I5" i="2"/>
  <c r="L5" i="2"/>
  <c r="P5" i="2" s="1"/>
  <c r="I6" i="2"/>
  <c r="L6" i="2"/>
  <c r="P6" i="2" s="1"/>
  <c r="I11" i="2"/>
  <c r="L11" i="2"/>
  <c r="N11" i="2" s="1"/>
  <c r="P11" i="2"/>
  <c r="I9" i="2"/>
  <c r="L9" i="2"/>
  <c r="N9" i="2" s="1"/>
  <c r="I8" i="2"/>
  <c r="L8" i="2"/>
  <c r="N8" i="2"/>
  <c r="P8" i="2"/>
  <c r="I15" i="2"/>
  <c r="L15" i="2"/>
  <c r="N15" i="2"/>
  <c r="P15" i="2"/>
  <c r="I12" i="2"/>
  <c r="L12" i="2"/>
  <c r="P12" i="2" s="1"/>
  <c r="I16" i="2"/>
  <c r="L16" i="2"/>
  <c r="N16" i="2" s="1"/>
  <c r="I7" i="2"/>
  <c r="L7" i="2"/>
  <c r="P7" i="2" s="1"/>
  <c r="D17" i="2"/>
  <c r="G17" i="2"/>
  <c r="H17" i="2"/>
  <c r="I18" i="2" s="1"/>
  <c r="J17" i="2"/>
  <c r="M17" i="2"/>
  <c r="N5" i="2" l="1"/>
  <c r="N7" i="2"/>
  <c r="N6" i="2"/>
  <c r="P9" i="2"/>
  <c r="P16" i="2"/>
  <c r="N12" i="2"/>
  <c r="N27" i="2"/>
  <c r="L17" i="2"/>
  <c r="N18" i="2" s="1"/>
  <c r="I19" i="2"/>
  <c r="P17" i="2"/>
  <c r="N19" i="2"/>
  <c r="R17" i="2" s="1"/>
  <c r="Q18" i="2"/>
  <c r="O22" i="2" l="1"/>
  <c r="M22" i="2"/>
  <c r="R5" i="2"/>
  <c r="R6" i="2"/>
  <c r="R7" i="2"/>
  <c r="R8" i="2"/>
  <c r="R9" i="2"/>
  <c r="R10" i="2"/>
  <c r="R13" i="2"/>
  <c r="R14" i="2"/>
  <c r="R15" i="2"/>
  <c r="R4" i="2"/>
  <c r="R12" i="2"/>
  <c r="R16" i="2"/>
  <c r="R11" i="2"/>
  <c r="R27" i="2"/>
  <c r="Q19" i="2" l="1"/>
  <c r="S19" i="2" s="1"/>
</calcChain>
</file>

<file path=xl/sharedStrings.xml><?xml version="1.0" encoding="utf-8"?>
<sst xmlns="http://schemas.openxmlformats.org/spreadsheetml/2006/main" count="163" uniqueCount="90">
  <si>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</si>
  <si>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</si>
  <si>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</si>
  <si>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</si>
  <si>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</si>
  <si>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</si>
  <si>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</si>
  <si>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</si>
  <si>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</si>
  <si>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</si>
  <si>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</si>
  <si>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</si>
  <si>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</si>
  <si>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</si>
  <si>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</si>
  <si>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</si>
  <si>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</si>
  <si>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</si>
  <si>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</si>
  <si>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</si>
  <si>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</si>
  <si>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</si>
  <si>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</si>
  <si>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</si>
  <si>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</si>
  <si>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</si>
  <si>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</si>
  <si>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07-09-2-03-4002-000</t>
  </si>
  <si>
    <t>14454 RAUCHOLZ</t>
  </si>
  <si>
    <t>WD</t>
  </si>
  <si>
    <t>03-ARM'S LENGTH</t>
  </si>
  <si>
    <t>AG25</t>
  </si>
  <si>
    <t>Yes</t>
  </si>
  <si>
    <t>2025 AG BELOW AVERAGE</t>
  </si>
  <si>
    <t>07-09-2-10-4003-001</t>
  </si>
  <si>
    <t>15350 BRADY</t>
  </si>
  <si>
    <t>07-09-2-17-1002-000</t>
  </si>
  <si>
    <t>17251 W BRADY</t>
  </si>
  <si>
    <t>08-10-2-23-2002-002</t>
  </si>
  <si>
    <t>14815 BRANT</t>
  </si>
  <si>
    <t>1.5 STORY</t>
  </si>
  <si>
    <t>No</t>
  </si>
  <si>
    <t xml:space="preserve">  /  /    </t>
  </si>
  <si>
    <t>09-11-5-21-2003-000</t>
  </si>
  <si>
    <t>5360 FORT</t>
  </si>
  <si>
    <t>2.0 STORY</t>
  </si>
  <si>
    <t>2025 AG AVERAGE</t>
  </si>
  <si>
    <t>09-11-5-22-3002-003</t>
  </si>
  <si>
    <t>4400 RIVERVIEW</t>
  </si>
  <si>
    <t>1.25 STORY</t>
  </si>
  <si>
    <t>09-11-5-26-2005-001</t>
  </si>
  <si>
    <t>5093 RIVERVIEW</t>
  </si>
  <si>
    <t>13-09-3-11-2003-000</t>
  </si>
  <si>
    <t>15301 STUART</t>
  </si>
  <si>
    <t>13-09-3-22-1001-000</t>
  </si>
  <si>
    <t>9277 E PEET</t>
  </si>
  <si>
    <t>1 STORY</t>
  </si>
  <si>
    <t>20-09-4-34-2002-004</t>
  </si>
  <si>
    <t>3405 DITCH</t>
  </si>
  <si>
    <t>24-10-3-20-1002-000</t>
  </si>
  <si>
    <t>11100 FERGUS</t>
  </si>
  <si>
    <t>25-11-4-33-1001-000</t>
  </si>
  <si>
    <t>7100 TOM CRESSWELL</t>
  </si>
  <si>
    <t>27-10-5-05-1002-000</t>
  </si>
  <si>
    <t>8200 BELL</t>
  </si>
  <si>
    <t>28-12-3-36-3006-000</t>
  </si>
  <si>
    <t>7550 EDERER</t>
  </si>
  <si>
    <t>2025 AG ABOVE AVERAGE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</si>
  <si>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</si>
  <si>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</si>
  <si>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</si>
  <si>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</si>
  <si>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</si>
  <si>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</si>
  <si>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</si>
  <si>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</si>
  <si>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ORIGINAL STATISTICS</t>
  </si>
  <si>
    <t>Range:</t>
  </si>
  <si>
    <t>Ave - 1.5 STD Dev</t>
  </si>
  <si>
    <t>to</t>
  </si>
  <si>
    <t>Ave + 1.5 STD Dev</t>
  </si>
  <si>
    <t>Calculation for outliers:</t>
  </si>
  <si>
    <t>Final ECF after outliers removed:</t>
  </si>
  <si>
    <t>(rounded)</t>
  </si>
  <si>
    <t>2025 Saginaw County Agricultural ECF Regional Analysis</t>
  </si>
  <si>
    <t>This factor will be applied to both Agricultural and Residential buildings with the property class of 101 or 102 for study purposes.</t>
  </si>
  <si>
    <t>Do to lack of sales Land Tables have been combine for analysis.</t>
  </si>
  <si>
    <t>Parcels Removed as Outliers</t>
  </si>
  <si>
    <t>2025 Ag ECF = 0.63</t>
  </si>
  <si>
    <t xml:space="preserve">The Agricultural ECF for Saginaw County, 2025-2026 Equalization Cycle will be 0.63.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</si>
</sst>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3" formatCode="_(* #,##0.00_);_(* \(#,##0.00\);_(* &quot;-&quot;??_);_(@_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3" borderId="1" xfId="0" applyFont="1" applyFill="1" applyBorder="1"/>
    <xf numFmtId="0" fontId="4" fillId="3" borderId="0" xfId="0" applyFont="1" applyFill="1"/>
    <xf numFmtId="0" fontId="4" fillId="3" borderId="2" xfId="0" applyFont="1" applyFill="1" applyBorder="1"/>
    <xf numFmtId="6" fontId="3" fillId="2" borderId="0" xfId="0" applyNumberFormat="1" applyFont="1" applyFill="1" applyAlignment="1">
      <alignment horizontal="center"/>
    </xf>
    <xf numFmtId="6" fontId="0" fillId="0" borderId="0" xfId="0" applyNumberFormat="1"/>
    <xf numFmtId="6" fontId="4" fillId="3" borderId="1" xfId="0" applyNumberFormat="1" applyFont="1" applyFill="1" applyBorder="1"/>
    <xf numFmtId="6" fontId="4" fillId="3" borderId="0" xfId="0" applyNumberFormat="1" applyFont="1" applyFill="1"/>
    <xf numFmtId="6" fontId="4" fillId="3" borderId="2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64" fontId="0" fillId="0" borderId="0" xfId="0" applyNumberFormat="1"/>
    <xf numFmtId="164" fontId="4" fillId="3" borderId="1" xfId="0" applyNumberFormat="1" applyFont="1" applyFill="1" applyBorder="1"/>
    <xf numFmtId="164" fontId="4" fillId="3" borderId="0" xfId="0" applyNumberFormat="1" applyFont="1" applyFill="1"/>
    <xf numFmtId="164" fontId="4" fillId="3" borderId="2" xfId="0" applyNumberFormat="1" applyFont="1" applyFill="1" applyBorder="1"/>
    <xf numFmtId="165" fontId="3" fillId="2" borderId="0" xfId="0" applyNumberFormat="1" applyFont="1" applyFill="1" applyAlignment="1">
      <alignment horizontal="center"/>
    </xf>
    <xf numFmtId="165" fontId="0" fillId="0" borderId="0" xfId="0" applyNumberFormat="1"/>
    <xf numFmtId="165" fontId="4" fillId="3" borderId="1" xfId="0" applyNumberFormat="1" applyFont="1" applyFill="1" applyBorder="1"/>
    <xf numFmtId="165" fontId="4" fillId="3" borderId="0" xfId="0" applyNumberFormat="1" applyFont="1" applyFill="1"/>
    <xf numFmtId="165" fontId="4" fillId="3" borderId="2" xfId="0" applyNumberFormat="1" applyFont="1" applyFill="1" applyBorder="1"/>
    <xf numFmtId="166" fontId="3" fillId="2" borderId="0" xfId="0" applyNumberFormat="1" applyFont="1" applyFill="1" applyAlignment="1">
      <alignment horizontal="center"/>
    </xf>
    <xf numFmtId="166" fontId="0" fillId="0" borderId="0" xfId="0" applyNumberFormat="1"/>
    <xf numFmtId="166" fontId="4" fillId="3" borderId="1" xfId="0" applyNumberFormat="1" applyFont="1" applyFill="1" applyBorder="1"/>
    <xf numFmtId="166" fontId="4" fillId="3" borderId="0" xfId="0" applyNumberFormat="1" applyFont="1" applyFill="1"/>
    <xf numFmtId="166" fontId="4" fillId="3" borderId="2" xfId="0" applyNumberFormat="1" applyFont="1" applyFill="1" applyBorder="1"/>
    <xf numFmtId="38" fontId="3" fillId="2" borderId="0" xfId="0" applyNumberFormat="1" applyFont="1" applyFill="1" applyAlignment="1">
      <alignment horizontal="center"/>
    </xf>
    <xf numFmtId="38" fontId="0" fillId="0" borderId="0" xfId="0" applyNumberFormat="1"/>
    <xf numFmtId="38" fontId="4" fillId="3" borderId="1" xfId="0" applyNumberFormat="1" applyFont="1" applyFill="1" applyBorder="1"/>
    <xf numFmtId="38" fontId="4" fillId="3" borderId="0" xfId="0" applyNumberFormat="1" applyFont="1" applyFill="1"/>
    <xf numFmtId="38" fontId="4" fillId="3" borderId="2" xfId="0" applyNumberFormat="1" applyFont="1" applyFill="1" applyBorder="1"/>
    <xf numFmtId="167" fontId="3" fillId="2" borderId="0" xfId="0" applyNumberFormat="1" applyFont="1" applyFill="1" applyAlignment="1">
      <alignment horizontal="center"/>
    </xf>
    <xf numFmtId="167" fontId="0" fillId="0" borderId="0" xfId="0" applyNumberFormat="1"/>
    <xf numFmtId="167" fontId="4" fillId="3" borderId="1" xfId="0" applyNumberFormat="1" applyFont="1" applyFill="1" applyBorder="1"/>
    <xf numFmtId="167" fontId="4" fillId="3" borderId="0" xfId="0" applyNumberFormat="1" applyFont="1" applyFill="1"/>
    <xf numFmtId="167" fontId="4" fillId="3" borderId="2" xfId="0" applyNumberFormat="1" applyFont="1" applyFill="1" applyBorder="1"/>
    <xf numFmtId="49" fontId="3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4" fillId="3" borderId="1" xfId="0" applyNumberFormat="1" applyFont="1" applyFill="1" applyBorder="1" applyAlignment="1">
      <alignment horizontal="right"/>
    </xf>
    <xf numFmtId="49" fontId="4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3" fillId="2" borderId="0" xfId="0" applyNumberFormat="1" applyFont="1" applyFill="1" applyAlignment="1">
      <alignment horizontal="center"/>
    </xf>
    <xf numFmtId="168" fontId="0" fillId="0" borderId="0" xfId="0" applyNumberFormat="1"/>
    <xf numFmtId="168" fontId="4" fillId="3" borderId="1" xfId="0" applyNumberFormat="1" applyFont="1" applyFill="1" applyBorder="1"/>
    <xf numFmtId="168" fontId="4" fillId="3" borderId="0" xfId="0" applyNumberFormat="1" applyFont="1" applyFill="1"/>
    <xf numFmtId="168" fontId="4" fillId="3" borderId="2" xfId="0" applyNumberFormat="1" applyFont="1" applyFill="1" applyBorder="1"/>
    <xf numFmtId="168" fontId="4" fillId="3" borderId="2" xfId="0" applyNumberFormat="1" applyFont="1" applyFill="1" applyBorder="1" applyAlignment="1">
      <alignment horizontal="right"/>
    </xf>
    <xf numFmtId="167" fontId="0" fillId="0" borderId="0" xfId="0" applyNumberFormat="1" applyAlignment="1">
      <alignment horizontal="center"/>
    </xf>
    <xf numFmtId="6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7" fontId="0" fillId="0" borderId="3" xfId="0" applyNumberFormat="1" applyBorder="1" applyAlignment="1">
      <alignment horizontal="center"/>
    </xf>
    <xf numFmtId="164" fontId="4" fillId="4" borderId="0" xfId="0" applyNumberFormat="1" applyFont="1" applyFill="1"/>
    <xf numFmtId="6" fontId="0" fillId="5" borderId="0" xfId="0" applyNumberFormat="1" applyFill="1" applyAlignment="1">
      <alignment horizontal="right"/>
    </xf>
    <xf numFmtId="38" fontId="0" fillId="5" borderId="0" xfId="0" applyNumberFormat="1" applyFill="1"/>
    <xf numFmtId="167" fontId="0" fillId="5" borderId="0" xfId="0" applyNumberFormat="1" applyFill="1"/>
    <xf numFmtId="166" fontId="4" fillId="5" borderId="0" xfId="0" applyNumberFormat="1" applyFont="1" applyFill="1"/>
    <xf numFmtId="2" fontId="0" fillId="0" borderId="3" xfId="1" applyNumberFormat="1" applyFont="1" applyBorder="1"/>
    <xf numFmtId="0" fontId="0" fillId="4" borderId="0" xfId="0" applyFill="1"/>
    <xf numFmtId="49" fontId="4" fillId="6" borderId="0" xfId="0" applyNumberFormat="1" applyFont="1" applyFill="1" applyAlignment="1">
      <alignment horizontal="right"/>
    </xf>
    <xf numFmtId="49" fontId="0" fillId="0" borderId="3" xfId="1" applyNumberFormat="1" applyFont="1" applyBorder="1"/>
    <xf numFmtId="0" fontId="6" fillId="4" borderId="0" xfId="0" applyFont="1" applyFill="1"/>
    <xf numFmtId="0" fontId="5" fillId="0" borderId="0" xfId="0" applyFont="1" applyAlignment="1">
      <alignment horizontal="left" vertical="top"/>
    </xf>
    <xf numFmtId="165" fontId="0" fillId="4" borderId="0" xfId="0" applyNumberFormat="1" applyFill="1"/>
    <xf numFmtId="6" fontId="0" fillId="4" borderId="0" xfId="0" applyNumberFormat="1" applyFill="1"/>
    <xf numFmtId="164" fontId="0" fillId="4" borderId="0" xfId="0" applyNumberFormat="1" applyFill="1"/>
    <xf numFmtId="6" fontId="2" fillId="4" borderId="0" xfId="0" applyNumberFormat="1" applyFont="1" applyFill="1"/>
    <xf numFmtId="0" fontId="2" fillId="4" borderId="0" xfId="0" applyFont="1" applyFill="1" applyAlignment="1">
      <alignment horizontal="left"/>
    </xf>
  </cellXfs>
  <cellStyles count="2">
    <cellStyle name="Comma 2" xfId="1" xr:uid="{D7F5B95E-C623-4965-B693-5879396E696F}"/>
    <cellStyle name="Normal" xfId="0" builtinId="0"/>
  </cellStyles>
  <dxfs count="4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1D75B-4C74-45F9-8441-97C4D2649A6D}">
  <dimension ref="A1:AZ27"/>
  <sheetViews>
    <sheetView tabSelected="1" workbookViewId="0">
      <selection activeCell="F21" sqref="F21"/>
    </sheetView>
  </sheetViews>
  <sheetFormatPr defaultRowHeight="15" x14ac:dyDescent="0.25"/>
  <cols>
    <col min="1" max="1" width="18.85546875" customWidth="1"/>
    <col min="2" max="2" width="19.85546875" customWidth="1"/>
    <col min="3" max="3" width="9.5703125" style="17" bestFit="1" customWidth="1"/>
    <col min="4" max="4" width="10.85546875" style="7" bestFit="1" customWidth="1"/>
    <col min="5" max="5" width="5.7109375" bestFit="1" customWidth="1"/>
    <col min="6" max="6" width="16.42578125" bestFit="1" customWidth="1"/>
    <col min="7" max="7" width="10.85546875" style="7" bestFit="1" customWidth="1"/>
    <col min="8" max="8" width="14.7109375" style="7" bestFit="1" customWidth="1"/>
    <col min="9" max="9" width="12.7109375" style="12" bestFit="1" customWidth="1"/>
    <col min="10" max="10" width="13.7109375" style="7" bestFit="1" customWidth="1"/>
    <col min="11" max="11" width="11.140625" style="7" bestFit="1" customWidth="1"/>
    <col min="12" max="12" width="13.85546875" style="7" bestFit="1" customWidth="1"/>
    <col min="13" max="13" width="13.140625" style="7" customWidth="1"/>
    <col min="14" max="14" width="9.28515625" style="22" customWidth="1"/>
    <col min="15" max="15" width="10" style="27" bestFit="1" customWidth="1"/>
    <col min="16" max="16" width="15.85546875" style="32" bestFit="1" customWidth="1"/>
    <col min="17" max="17" width="11.5703125" style="40" bestFit="1" customWidth="1"/>
    <col min="18" max="18" width="19.140625" style="42" bestFit="1" customWidth="1"/>
    <col min="19" max="19" width="13.42578125" bestFit="1" customWidth="1"/>
    <col min="20" max="20" width="9.7109375" bestFit="1" customWidth="1"/>
    <col min="21" max="21" width="10.7109375" style="7" bestFit="1" customWidth="1"/>
    <col min="22" max="22" width="11.5703125" bestFit="1" customWidth="1"/>
    <col min="23" max="23" width="10.42578125" style="17" bestFit="1" customWidth="1"/>
    <col min="24" max="24" width="19.85546875" bestFit="1" customWidth="1"/>
    <col min="25" max="25" width="23.140625" bestFit="1" customWidth="1"/>
    <col min="26" max="26" width="14.28515625" bestFit="1" customWidth="1"/>
    <col min="27" max="27" width="13.85546875" bestFit="1" customWidth="1"/>
  </cols>
  <sheetData>
    <row r="1" spans="1:52" ht="21" x14ac:dyDescent="0.25">
      <c r="A1" s="61" t="s">
        <v>84</v>
      </c>
      <c r="B1" s="61"/>
      <c r="C1"/>
      <c r="D1"/>
      <c r="G1"/>
      <c r="H1"/>
      <c r="I1"/>
      <c r="J1"/>
      <c r="K1"/>
      <c r="L1"/>
      <c r="M1"/>
      <c r="N1"/>
      <c r="O1"/>
      <c r="P1"/>
      <c r="Q1"/>
      <c r="R1"/>
      <c r="U1"/>
      <c r="W1"/>
    </row>
    <row r="2" spans="1:52" ht="15.75" x14ac:dyDescent="0.25">
      <c r="A2" s="60" t="s">
        <v>88</v>
      </c>
      <c r="B2" s="57"/>
      <c r="C2"/>
      <c r="D2"/>
      <c r="G2"/>
      <c r="H2"/>
      <c r="I2"/>
      <c r="J2"/>
      <c r="K2"/>
      <c r="L2"/>
      <c r="M2"/>
      <c r="N2"/>
      <c r="O2"/>
      <c r="P2"/>
      <c r="Q2"/>
      <c r="R2"/>
      <c r="U2"/>
      <c r="W2"/>
    </row>
    <row r="3" spans="1:52" ht="15.75" customHeight="1" x14ac:dyDescent="0.25">
      <c r="A3" s="1" t="s">
        <v>0</v>
      </c>
      <c r="B3" s="1" t="s">
        <v>1</v>
      </c>
      <c r="C3" s="16" t="s">
        <v>2</v>
      </c>
      <c r="D3" s="6" t="s">
        <v>3</v>
      </c>
      <c r="E3" s="1" t="s">
        <v>4</v>
      </c>
      <c r="F3" s="1" t="s">
        <v>5</v>
      </c>
      <c r="G3" s="6" t="s">
        <v>6</v>
      </c>
      <c r="H3" s="6" t="s">
        <v>7</v>
      </c>
      <c r="I3" s="11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21" t="s">
        <v>13</v>
      </c>
      <c r="O3" s="26" t="s">
        <v>14</v>
      </c>
      <c r="P3" s="31" t="s">
        <v>15</v>
      </c>
      <c r="Q3" s="36" t="s">
        <v>16</v>
      </c>
      <c r="R3" s="41" t="s">
        <v>17</v>
      </c>
      <c r="S3" s="1" t="s">
        <v>18</v>
      </c>
      <c r="T3" s="1" t="s">
        <v>19</v>
      </c>
      <c r="U3" s="6" t="s">
        <v>20</v>
      </c>
      <c r="V3" s="1" t="s">
        <v>21</v>
      </c>
      <c r="W3" s="16" t="s">
        <v>22</v>
      </c>
      <c r="X3" s="1" t="s">
        <v>23</v>
      </c>
      <c r="Y3" s="1" t="s">
        <v>24</v>
      </c>
      <c r="Z3" s="1" t="s">
        <v>25</v>
      </c>
      <c r="AA3" s="1" t="s">
        <v>26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x14ac:dyDescent="0.25">
      <c r="A4" t="s">
        <v>43</v>
      </c>
      <c r="B4" t="s">
        <v>44</v>
      </c>
      <c r="C4" s="17">
        <v>45244</v>
      </c>
      <c r="D4" s="7">
        <v>200000</v>
      </c>
      <c r="E4" t="s">
        <v>29</v>
      </c>
      <c r="F4" t="s">
        <v>30</v>
      </c>
      <c r="G4" s="7">
        <v>200000</v>
      </c>
      <c r="H4" s="7">
        <v>156600</v>
      </c>
      <c r="I4" s="12">
        <f t="shared" ref="I4:I16" si="0">H4/G4*100</f>
        <v>78.3</v>
      </c>
      <c r="J4" s="7">
        <v>350129</v>
      </c>
      <c r="K4" s="7">
        <v>187441</v>
      </c>
      <c r="L4" s="7">
        <f t="shared" ref="L4:L16" si="1">G4-K4</f>
        <v>12559</v>
      </c>
      <c r="M4" s="7">
        <v>235779.703125</v>
      </c>
      <c r="N4" s="22">
        <f t="shared" ref="N4:N16" si="2">L4/M4</f>
        <v>5.3265823281411856E-2</v>
      </c>
      <c r="O4" s="27">
        <v>3334</v>
      </c>
      <c r="P4" s="32">
        <f t="shared" ref="P4:P16" si="3">L4/O4</f>
        <v>3.7669466106778646</v>
      </c>
      <c r="Q4" s="37" t="s">
        <v>31</v>
      </c>
      <c r="R4" s="42">
        <f t="shared" ref="R4:R16" si="4">ABS($N$19-N4)*100</f>
        <v>61.711606963184153</v>
      </c>
      <c r="S4" t="s">
        <v>45</v>
      </c>
      <c r="U4" s="7">
        <v>186922</v>
      </c>
      <c r="V4" t="s">
        <v>32</v>
      </c>
      <c r="W4" s="17" t="s">
        <v>42</v>
      </c>
      <c r="Y4" t="s">
        <v>46</v>
      </c>
      <c r="Z4">
        <v>101</v>
      </c>
      <c r="AA4">
        <v>50</v>
      </c>
    </row>
    <row r="5" spans="1:52" x14ac:dyDescent="0.25">
      <c r="A5" t="s">
        <v>47</v>
      </c>
      <c r="B5" t="s">
        <v>48</v>
      </c>
      <c r="C5" s="17">
        <v>45168</v>
      </c>
      <c r="D5" s="7">
        <v>175000</v>
      </c>
      <c r="E5" t="s">
        <v>29</v>
      </c>
      <c r="F5" t="s">
        <v>30</v>
      </c>
      <c r="G5" s="7">
        <v>175000</v>
      </c>
      <c r="H5" s="7">
        <v>95600</v>
      </c>
      <c r="I5" s="12">
        <f t="shared" si="0"/>
        <v>54.628571428571426</v>
      </c>
      <c r="J5" s="7">
        <v>248423</v>
      </c>
      <c r="K5" s="7">
        <v>165484</v>
      </c>
      <c r="L5" s="7">
        <f t="shared" si="1"/>
        <v>9516</v>
      </c>
      <c r="M5" s="7">
        <v>120201.45074728259</v>
      </c>
      <c r="N5" s="22">
        <f t="shared" si="2"/>
        <v>7.9167097741664569E-2</v>
      </c>
      <c r="O5" s="27">
        <v>852</v>
      </c>
      <c r="P5" s="32">
        <f t="shared" si="3"/>
        <v>11.169014084507042</v>
      </c>
      <c r="Q5" s="37" t="s">
        <v>31</v>
      </c>
      <c r="R5" s="42">
        <f t="shared" si="4"/>
        <v>59.121479517158882</v>
      </c>
      <c r="S5" t="s">
        <v>49</v>
      </c>
      <c r="U5" s="7">
        <v>160392</v>
      </c>
      <c r="V5" t="s">
        <v>32</v>
      </c>
      <c r="W5" s="17" t="s">
        <v>42</v>
      </c>
      <c r="Y5" t="s">
        <v>46</v>
      </c>
      <c r="Z5">
        <v>101</v>
      </c>
      <c r="AA5">
        <v>45</v>
      </c>
    </row>
    <row r="6" spans="1:52" x14ac:dyDescent="0.25">
      <c r="A6" t="s">
        <v>50</v>
      </c>
      <c r="B6" t="s">
        <v>51</v>
      </c>
      <c r="C6" s="17">
        <v>45148</v>
      </c>
      <c r="D6" s="7">
        <v>260000</v>
      </c>
      <c r="E6" t="s">
        <v>29</v>
      </c>
      <c r="F6" t="s">
        <v>30</v>
      </c>
      <c r="G6" s="7">
        <v>260000</v>
      </c>
      <c r="H6" s="7">
        <v>139700</v>
      </c>
      <c r="I6" s="12">
        <f t="shared" si="0"/>
        <v>53.730769230769226</v>
      </c>
      <c r="J6" s="7">
        <v>388257</v>
      </c>
      <c r="K6" s="7">
        <v>198007</v>
      </c>
      <c r="L6" s="7">
        <f t="shared" si="1"/>
        <v>61993</v>
      </c>
      <c r="M6" s="7">
        <v>275724.63586956519</v>
      </c>
      <c r="N6" s="22">
        <f t="shared" si="2"/>
        <v>0.22483663748250093</v>
      </c>
      <c r="O6" s="27">
        <v>1855</v>
      </c>
      <c r="P6" s="32">
        <f t="shared" si="3"/>
        <v>33.419407008086253</v>
      </c>
      <c r="Q6" s="37" t="s">
        <v>31</v>
      </c>
      <c r="R6" s="42">
        <f t="shared" si="4"/>
        <v>44.554525543075243</v>
      </c>
      <c r="S6" t="s">
        <v>49</v>
      </c>
      <c r="U6" s="7">
        <v>192614</v>
      </c>
      <c r="V6" t="s">
        <v>32</v>
      </c>
      <c r="W6" s="17">
        <v>45930</v>
      </c>
      <c r="Y6" t="s">
        <v>46</v>
      </c>
      <c r="Z6">
        <v>101</v>
      </c>
      <c r="AA6">
        <v>84</v>
      </c>
    </row>
    <row r="7" spans="1:52" x14ac:dyDescent="0.25">
      <c r="A7" t="s">
        <v>65</v>
      </c>
      <c r="B7" t="s">
        <v>66</v>
      </c>
      <c r="C7" s="17">
        <v>45174</v>
      </c>
      <c r="D7" s="7">
        <v>230000</v>
      </c>
      <c r="E7" t="s">
        <v>29</v>
      </c>
      <c r="F7" t="s">
        <v>30</v>
      </c>
      <c r="G7" s="7">
        <v>230000</v>
      </c>
      <c r="H7" s="7">
        <v>134200</v>
      </c>
      <c r="I7" s="12">
        <f t="shared" si="0"/>
        <v>58.347826086956523</v>
      </c>
      <c r="J7" s="7">
        <v>303068</v>
      </c>
      <c r="K7" s="7">
        <v>187152</v>
      </c>
      <c r="L7" s="7">
        <f t="shared" si="1"/>
        <v>42848</v>
      </c>
      <c r="M7" s="7">
        <v>167994.20448369565</v>
      </c>
      <c r="N7" s="22">
        <f t="shared" si="2"/>
        <v>0.2550564177596884</v>
      </c>
      <c r="O7" s="27">
        <v>2010</v>
      </c>
      <c r="P7" s="32">
        <f t="shared" si="3"/>
        <v>21.317412935323382</v>
      </c>
      <c r="Q7" s="37" t="s">
        <v>31</v>
      </c>
      <c r="R7" s="42">
        <f t="shared" si="4"/>
        <v>41.532547515356491</v>
      </c>
      <c r="S7">
        <v>0</v>
      </c>
      <c r="U7" s="7">
        <v>182701</v>
      </c>
      <c r="V7" t="s">
        <v>32</v>
      </c>
      <c r="W7" s="17">
        <v>45862</v>
      </c>
      <c r="Y7" t="s">
        <v>67</v>
      </c>
      <c r="Z7">
        <v>101</v>
      </c>
      <c r="AA7">
        <v>59</v>
      </c>
    </row>
    <row r="8" spans="1:52" x14ac:dyDescent="0.25">
      <c r="A8" t="s">
        <v>57</v>
      </c>
      <c r="B8" t="s">
        <v>58</v>
      </c>
      <c r="C8" s="17">
        <v>45685</v>
      </c>
      <c r="D8" s="7">
        <v>1000000</v>
      </c>
      <c r="E8" t="s">
        <v>29</v>
      </c>
      <c r="F8" t="s">
        <v>30</v>
      </c>
      <c r="G8" s="7">
        <v>1000000</v>
      </c>
      <c r="H8" s="7">
        <v>464500</v>
      </c>
      <c r="I8" s="12">
        <f t="shared" si="0"/>
        <v>46.45</v>
      </c>
      <c r="J8" s="7">
        <v>1089749</v>
      </c>
      <c r="K8" s="7">
        <v>760385</v>
      </c>
      <c r="L8" s="7">
        <f t="shared" si="1"/>
        <v>239615</v>
      </c>
      <c r="M8" s="7">
        <v>477339.135190217</v>
      </c>
      <c r="N8" s="22">
        <f t="shared" si="2"/>
        <v>0.50198063040549723</v>
      </c>
      <c r="O8" s="27">
        <v>2922</v>
      </c>
      <c r="P8" s="32">
        <f t="shared" si="3"/>
        <v>82.003764544832308</v>
      </c>
      <c r="Q8" s="37" t="s">
        <v>31</v>
      </c>
      <c r="R8" s="42">
        <f t="shared" si="4"/>
        <v>16.840126250775612</v>
      </c>
      <c r="S8">
        <v>0</v>
      </c>
      <c r="U8" s="7">
        <v>730816</v>
      </c>
      <c r="V8" t="s">
        <v>32</v>
      </c>
      <c r="W8" s="17">
        <v>45498</v>
      </c>
      <c r="Y8" t="s">
        <v>46</v>
      </c>
      <c r="Z8">
        <v>101</v>
      </c>
      <c r="AA8">
        <v>45</v>
      </c>
    </row>
    <row r="9" spans="1:52" x14ac:dyDescent="0.25">
      <c r="A9" t="s">
        <v>54</v>
      </c>
      <c r="B9" t="s">
        <v>55</v>
      </c>
      <c r="C9" s="17">
        <v>45160</v>
      </c>
      <c r="D9" s="7">
        <v>525000</v>
      </c>
      <c r="E9" t="s">
        <v>29</v>
      </c>
      <c r="F9" t="s">
        <v>30</v>
      </c>
      <c r="G9" s="7">
        <v>525000</v>
      </c>
      <c r="H9" s="7">
        <v>202900</v>
      </c>
      <c r="I9" s="12">
        <f t="shared" si="0"/>
        <v>38.647619047619045</v>
      </c>
      <c r="J9" s="7">
        <v>622158</v>
      </c>
      <c r="K9" s="7">
        <v>245012</v>
      </c>
      <c r="L9" s="7">
        <f t="shared" si="1"/>
        <v>279988</v>
      </c>
      <c r="M9" s="7">
        <v>546588.39085144934</v>
      </c>
      <c r="N9" s="22">
        <f t="shared" si="2"/>
        <v>0.51224651801303001</v>
      </c>
      <c r="O9" s="27">
        <v>3042</v>
      </c>
      <c r="P9" s="32">
        <f t="shared" si="3"/>
        <v>92.040762656147265</v>
      </c>
      <c r="Q9" s="37" t="s">
        <v>31</v>
      </c>
      <c r="R9" s="42">
        <f t="shared" si="4"/>
        <v>15.813537490022334</v>
      </c>
      <c r="S9" t="s">
        <v>56</v>
      </c>
      <c r="U9" s="7">
        <v>178192</v>
      </c>
      <c r="V9" t="s">
        <v>32</v>
      </c>
      <c r="W9" s="17">
        <v>45862</v>
      </c>
      <c r="Y9" t="s">
        <v>46</v>
      </c>
      <c r="Z9">
        <v>101</v>
      </c>
      <c r="AA9">
        <v>74</v>
      </c>
    </row>
    <row r="10" spans="1:52" x14ac:dyDescent="0.25">
      <c r="A10" t="s">
        <v>36</v>
      </c>
      <c r="B10" t="s">
        <v>37</v>
      </c>
      <c r="C10" s="17">
        <v>45236</v>
      </c>
      <c r="D10" s="7">
        <v>264000</v>
      </c>
      <c r="E10" t="s">
        <v>29</v>
      </c>
      <c r="F10" t="s">
        <v>30</v>
      </c>
      <c r="G10" s="7">
        <v>264000</v>
      </c>
      <c r="H10" s="7">
        <v>152400</v>
      </c>
      <c r="I10" s="12">
        <f t="shared" si="0"/>
        <v>57.727272727272727</v>
      </c>
      <c r="J10" s="7">
        <v>283486</v>
      </c>
      <c r="K10" s="7">
        <v>181805</v>
      </c>
      <c r="L10" s="7">
        <f t="shared" si="1"/>
        <v>82195</v>
      </c>
      <c r="M10" s="7">
        <v>147363.7661911232</v>
      </c>
      <c r="N10" s="22">
        <f t="shared" si="2"/>
        <v>0.55776940373115413</v>
      </c>
      <c r="O10" s="27">
        <v>1406</v>
      </c>
      <c r="P10" s="32">
        <f t="shared" si="3"/>
        <v>58.460170697012799</v>
      </c>
      <c r="Q10" s="37" t="s">
        <v>31</v>
      </c>
      <c r="R10" s="42">
        <f t="shared" si="4"/>
        <v>11.261248918209921</v>
      </c>
      <c r="S10">
        <v>0</v>
      </c>
      <c r="U10" s="7">
        <v>181805</v>
      </c>
      <c r="V10" t="s">
        <v>32</v>
      </c>
      <c r="W10" s="17">
        <v>45811</v>
      </c>
      <c r="Y10" t="s">
        <v>33</v>
      </c>
      <c r="Z10">
        <v>101</v>
      </c>
      <c r="AA10">
        <v>49</v>
      </c>
    </row>
    <row r="11" spans="1:52" x14ac:dyDescent="0.25">
      <c r="A11" t="s">
        <v>52</v>
      </c>
      <c r="B11" t="s">
        <v>53</v>
      </c>
      <c r="C11" s="17">
        <v>45064</v>
      </c>
      <c r="D11" s="7">
        <v>379373</v>
      </c>
      <c r="E11" t="s">
        <v>29</v>
      </c>
      <c r="F11" t="s">
        <v>30</v>
      </c>
      <c r="G11" s="7">
        <v>379373</v>
      </c>
      <c r="H11" s="7">
        <v>125400</v>
      </c>
      <c r="I11" s="12">
        <f t="shared" si="0"/>
        <v>33.054539990985127</v>
      </c>
      <c r="J11" s="7">
        <v>356918</v>
      </c>
      <c r="K11" s="7">
        <v>224220</v>
      </c>
      <c r="L11" s="7">
        <f t="shared" si="1"/>
        <v>155153</v>
      </c>
      <c r="M11" s="7">
        <v>192315.9375</v>
      </c>
      <c r="N11" s="22">
        <f t="shared" si="2"/>
        <v>0.80676101012169099</v>
      </c>
      <c r="O11" s="27">
        <v>1578</v>
      </c>
      <c r="P11" s="32">
        <f t="shared" si="3"/>
        <v>98.322560202788338</v>
      </c>
      <c r="Q11" s="37" t="s">
        <v>31</v>
      </c>
      <c r="R11" s="42">
        <f t="shared" si="4"/>
        <v>13.637911720843764</v>
      </c>
      <c r="S11">
        <v>0</v>
      </c>
      <c r="U11" s="7">
        <v>218680</v>
      </c>
      <c r="V11" t="s">
        <v>32</v>
      </c>
      <c r="W11" s="17">
        <v>45862</v>
      </c>
      <c r="Y11" t="s">
        <v>46</v>
      </c>
      <c r="Z11">
        <v>101</v>
      </c>
      <c r="AA11">
        <v>69</v>
      </c>
    </row>
    <row r="12" spans="1:52" x14ac:dyDescent="0.25">
      <c r="A12" t="s">
        <v>61</v>
      </c>
      <c r="B12" t="s">
        <v>62</v>
      </c>
      <c r="C12" s="17">
        <v>45509</v>
      </c>
      <c r="D12" s="7">
        <v>200000</v>
      </c>
      <c r="E12" t="s">
        <v>29</v>
      </c>
      <c r="F12" t="s">
        <v>30</v>
      </c>
      <c r="G12" s="7">
        <v>200000</v>
      </c>
      <c r="H12" s="7">
        <v>108300</v>
      </c>
      <c r="I12" s="12">
        <f t="shared" si="0"/>
        <v>54.15</v>
      </c>
      <c r="J12" s="7">
        <v>160415</v>
      </c>
      <c r="K12" s="7">
        <v>42861</v>
      </c>
      <c r="L12" s="7">
        <f t="shared" si="1"/>
        <v>157139</v>
      </c>
      <c r="M12" s="7">
        <v>170368.11299818842</v>
      </c>
      <c r="N12" s="22">
        <f t="shared" si="2"/>
        <v>0.92234982964019163</v>
      </c>
      <c r="O12" s="27">
        <v>1890</v>
      </c>
      <c r="P12" s="32">
        <f t="shared" si="3"/>
        <v>83.142328042328046</v>
      </c>
      <c r="Q12" s="37" t="s">
        <v>31</v>
      </c>
      <c r="R12" s="42">
        <f t="shared" si="4"/>
        <v>25.196793672693829</v>
      </c>
      <c r="S12" t="s">
        <v>45</v>
      </c>
      <c r="U12" s="7">
        <v>41920</v>
      </c>
      <c r="V12" t="s">
        <v>32</v>
      </c>
      <c r="W12" s="17" t="s">
        <v>42</v>
      </c>
      <c r="Y12" t="s">
        <v>46</v>
      </c>
      <c r="Z12">
        <v>101</v>
      </c>
      <c r="AA12">
        <v>50</v>
      </c>
    </row>
    <row r="13" spans="1:52" x14ac:dyDescent="0.25">
      <c r="A13" t="s">
        <v>27</v>
      </c>
      <c r="B13" t="s">
        <v>28</v>
      </c>
      <c r="C13" s="17">
        <v>45118</v>
      </c>
      <c r="D13" s="7">
        <v>400000</v>
      </c>
      <c r="E13" t="s">
        <v>29</v>
      </c>
      <c r="F13" t="s">
        <v>30</v>
      </c>
      <c r="G13" s="7">
        <v>400000</v>
      </c>
      <c r="H13" s="7">
        <v>121300</v>
      </c>
      <c r="I13" s="12">
        <f t="shared" si="0"/>
        <v>30.325000000000003</v>
      </c>
      <c r="J13" s="7">
        <v>304321</v>
      </c>
      <c r="K13" s="7">
        <v>71130</v>
      </c>
      <c r="L13" s="7">
        <f t="shared" si="1"/>
        <v>328870</v>
      </c>
      <c r="M13" s="7">
        <v>337957.98052536231</v>
      </c>
      <c r="N13" s="22">
        <f t="shared" si="2"/>
        <v>0.97310914063566467</v>
      </c>
      <c r="O13" s="27">
        <v>2400</v>
      </c>
      <c r="P13" s="32">
        <f t="shared" si="3"/>
        <v>137.02916666666667</v>
      </c>
      <c r="Q13" s="37" t="s">
        <v>31</v>
      </c>
      <c r="R13" s="42">
        <f t="shared" si="4"/>
        <v>30.272724772241133</v>
      </c>
      <c r="S13">
        <v>0</v>
      </c>
      <c r="U13" s="7">
        <v>69520</v>
      </c>
      <c r="V13" t="s">
        <v>32</v>
      </c>
      <c r="W13" s="17">
        <v>45811</v>
      </c>
      <c r="Y13" t="s">
        <v>33</v>
      </c>
      <c r="Z13">
        <v>101</v>
      </c>
      <c r="AA13">
        <v>90</v>
      </c>
      <c r="AQ13" s="2"/>
      <c r="AS13" s="2"/>
    </row>
    <row r="14" spans="1:52" x14ac:dyDescent="0.25">
      <c r="A14" t="s">
        <v>38</v>
      </c>
      <c r="B14" t="s">
        <v>39</v>
      </c>
      <c r="C14" s="17">
        <v>45034</v>
      </c>
      <c r="D14" s="7">
        <v>328000</v>
      </c>
      <c r="E14" t="s">
        <v>29</v>
      </c>
      <c r="F14" t="s">
        <v>30</v>
      </c>
      <c r="G14" s="7">
        <v>328000</v>
      </c>
      <c r="H14" s="7">
        <v>70300</v>
      </c>
      <c r="I14" s="12">
        <f t="shared" si="0"/>
        <v>21.432926829268293</v>
      </c>
      <c r="J14" s="7">
        <v>212718</v>
      </c>
      <c r="K14" s="7">
        <v>64187</v>
      </c>
      <c r="L14" s="7">
        <f t="shared" si="1"/>
        <v>263813</v>
      </c>
      <c r="M14" s="7">
        <v>215262.31884057971</v>
      </c>
      <c r="N14" s="22">
        <f t="shared" si="2"/>
        <v>1.2255419407396435</v>
      </c>
      <c r="O14" s="27">
        <v>1542</v>
      </c>
      <c r="P14" s="32">
        <f t="shared" si="3"/>
        <v>171.08495460440986</v>
      </c>
      <c r="Q14" s="37" t="s">
        <v>31</v>
      </c>
      <c r="R14" s="42">
        <f t="shared" si="4"/>
        <v>55.516004782639016</v>
      </c>
      <c r="S14" t="s">
        <v>40</v>
      </c>
      <c r="U14" s="7">
        <v>49133</v>
      </c>
      <c r="V14" t="s">
        <v>41</v>
      </c>
      <c r="W14" s="17" t="s">
        <v>42</v>
      </c>
      <c r="Y14" t="s">
        <v>33</v>
      </c>
      <c r="Z14">
        <v>101</v>
      </c>
      <c r="AA14">
        <v>64</v>
      </c>
    </row>
    <row r="15" spans="1:52" x14ac:dyDescent="0.25">
      <c r="A15" t="s">
        <v>59</v>
      </c>
      <c r="B15" t="s">
        <v>60</v>
      </c>
      <c r="C15" s="17">
        <v>45603</v>
      </c>
      <c r="D15" s="7">
        <v>250000</v>
      </c>
      <c r="E15" t="s">
        <v>29</v>
      </c>
      <c r="F15" t="s">
        <v>30</v>
      </c>
      <c r="G15" s="7">
        <v>250000</v>
      </c>
      <c r="H15" s="7">
        <v>103200</v>
      </c>
      <c r="I15" s="12">
        <f t="shared" si="0"/>
        <v>41.28</v>
      </c>
      <c r="J15" s="7">
        <v>182558</v>
      </c>
      <c r="K15" s="7">
        <v>100151</v>
      </c>
      <c r="L15" s="7">
        <f t="shared" si="1"/>
        <v>149849</v>
      </c>
      <c r="M15" s="7">
        <v>119430.43591485507</v>
      </c>
      <c r="N15" s="22">
        <f t="shared" si="2"/>
        <v>1.2546969191909429</v>
      </c>
      <c r="O15" s="27">
        <v>1400</v>
      </c>
      <c r="P15" s="32">
        <f t="shared" si="3"/>
        <v>107.035</v>
      </c>
      <c r="Q15" s="37" t="s">
        <v>31</v>
      </c>
      <c r="R15" s="42">
        <f t="shared" si="4"/>
        <v>58.431502627768964</v>
      </c>
      <c r="S15" t="s">
        <v>56</v>
      </c>
      <c r="U15" s="7">
        <v>99104</v>
      </c>
      <c r="V15" t="s">
        <v>32</v>
      </c>
      <c r="W15" s="17" t="s">
        <v>42</v>
      </c>
      <c r="Y15" t="s">
        <v>46</v>
      </c>
      <c r="Z15">
        <v>101</v>
      </c>
      <c r="AA15">
        <v>50</v>
      </c>
    </row>
    <row r="16" spans="1:52" ht="15.75" thickBot="1" x14ac:dyDescent="0.3">
      <c r="A16" t="s">
        <v>63</v>
      </c>
      <c r="B16" t="s">
        <v>64</v>
      </c>
      <c r="C16" s="17">
        <v>45460</v>
      </c>
      <c r="D16" s="7">
        <v>334900</v>
      </c>
      <c r="E16" t="s">
        <v>29</v>
      </c>
      <c r="F16" t="s">
        <v>30</v>
      </c>
      <c r="G16" s="7">
        <v>334900</v>
      </c>
      <c r="H16" s="7">
        <v>115800</v>
      </c>
      <c r="I16" s="12">
        <f t="shared" si="0"/>
        <v>34.577485816661692</v>
      </c>
      <c r="J16" s="7">
        <v>241148</v>
      </c>
      <c r="K16" s="7">
        <v>142864</v>
      </c>
      <c r="L16" s="7">
        <f t="shared" si="1"/>
        <v>192036</v>
      </c>
      <c r="M16" s="7">
        <v>142440.578125</v>
      </c>
      <c r="N16" s="22">
        <f t="shared" si="2"/>
        <v>1.3481832391292115</v>
      </c>
      <c r="O16" s="27">
        <v>1176</v>
      </c>
      <c r="P16" s="32">
        <f t="shared" si="3"/>
        <v>163.29591836734693</v>
      </c>
      <c r="Q16" s="37" t="s">
        <v>31</v>
      </c>
      <c r="R16" s="42">
        <f t="shared" si="4"/>
        <v>67.780134621595806</v>
      </c>
      <c r="S16">
        <v>0</v>
      </c>
      <c r="U16" s="7">
        <v>140600</v>
      </c>
      <c r="V16" t="s">
        <v>32</v>
      </c>
      <c r="W16" s="17" t="s">
        <v>42</v>
      </c>
      <c r="Y16" t="s">
        <v>46</v>
      </c>
      <c r="Z16">
        <v>101</v>
      </c>
      <c r="AA16">
        <v>61</v>
      </c>
    </row>
    <row r="17" spans="1:27" ht="15.75" thickTop="1" x14ac:dyDescent="0.25">
      <c r="A17" s="3"/>
      <c r="B17" s="3"/>
      <c r="C17" s="18" t="s">
        <v>68</v>
      </c>
      <c r="D17" s="8">
        <f>+SUM(D4:D16)</f>
        <v>4546273</v>
      </c>
      <c r="E17" s="3"/>
      <c r="F17" s="3"/>
      <c r="G17" s="8">
        <f>+SUM(G4:G16)</f>
        <v>4546273</v>
      </c>
      <c r="H17" s="8">
        <f>+SUM(H4:H16)</f>
        <v>1990200</v>
      </c>
      <c r="I17" s="13"/>
      <c r="J17" s="8">
        <f>+SUM(J4:J16)</f>
        <v>4743348</v>
      </c>
      <c r="K17" s="8"/>
      <c r="L17" s="8">
        <f>+SUM(L4:L16)</f>
        <v>1975574</v>
      </c>
      <c r="M17" s="8">
        <f>+SUM(M4:M16)</f>
        <v>3148766.6503623184</v>
      </c>
      <c r="N17" s="23"/>
      <c r="O17" s="28"/>
      <c r="P17" s="33">
        <f>AVERAGE(P4:P16)</f>
        <v>81.699031263086681</v>
      </c>
      <c r="Q17" s="38"/>
      <c r="R17" s="43">
        <f>ABS(N19-N18)*100</f>
        <v>4.2969887081485192</v>
      </c>
      <c r="S17" s="3"/>
      <c r="T17" s="3"/>
      <c r="U17" s="8"/>
      <c r="V17" s="3"/>
      <c r="W17" s="18"/>
      <c r="X17" s="3"/>
      <c r="Y17" s="3"/>
      <c r="Z17" s="3"/>
      <c r="AA17" s="3"/>
    </row>
    <row r="18" spans="1:27" x14ac:dyDescent="0.25">
      <c r="A18" s="4"/>
      <c r="B18" s="4"/>
      <c r="C18" s="19"/>
      <c r="D18" s="9"/>
      <c r="E18" s="4"/>
      <c r="F18" s="4"/>
      <c r="G18" s="9"/>
      <c r="H18" s="9" t="s">
        <v>69</v>
      </c>
      <c r="I18" s="14">
        <f>H17/G17*100</f>
        <v>43.776517600240901</v>
      </c>
      <c r="J18" s="9"/>
      <c r="K18" s="9"/>
      <c r="L18" s="9"/>
      <c r="M18" s="9" t="s">
        <v>70</v>
      </c>
      <c r="N18" s="24">
        <f>L17/M17</f>
        <v>0.62741200583176815</v>
      </c>
      <c r="O18" s="29"/>
      <c r="P18" s="34" t="s">
        <v>71</v>
      </c>
      <c r="Q18" s="39">
        <f>STDEV(N4:N16)</f>
        <v>0.45186582097049593</v>
      </c>
      <c r="R18" s="44"/>
      <c r="S18" s="4"/>
      <c r="T18" s="4"/>
      <c r="U18" s="9"/>
      <c r="V18" s="4"/>
      <c r="W18" s="19"/>
      <c r="X18" s="4"/>
      <c r="Y18" s="4"/>
      <c r="Z18" s="4"/>
      <c r="AA18" s="4"/>
    </row>
    <row r="19" spans="1:27" x14ac:dyDescent="0.25">
      <c r="A19" s="5"/>
      <c r="B19" s="5"/>
      <c r="C19" s="20"/>
      <c r="D19" s="10"/>
      <c r="E19" s="5"/>
      <c r="F19" s="5"/>
      <c r="G19" s="10"/>
      <c r="H19" s="10" t="s">
        <v>72</v>
      </c>
      <c r="I19" s="15">
        <f>STDEV(I4:I16)</f>
        <v>15.155049884873502</v>
      </c>
      <c r="J19" s="10"/>
      <c r="K19" s="10"/>
      <c r="L19" s="10"/>
      <c r="M19" s="10" t="s">
        <v>73</v>
      </c>
      <c r="N19" s="25">
        <f>AVERAGE(N4:N16)</f>
        <v>0.67038189291325334</v>
      </c>
      <c r="O19" s="30"/>
      <c r="P19" s="35" t="s">
        <v>74</v>
      </c>
      <c r="Q19" s="46">
        <f>AVERAGE(R4:R16)</f>
        <v>38.590011107351174</v>
      </c>
      <c r="R19" s="45" t="s">
        <v>75</v>
      </c>
      <c r="S19" s="5">
        <f>+(Q19/N19)</f>
        <v>57.564220506690624</v>
      </c>
      <c r="T19" s="5"/>
      <c r="U19" s="10"/>
      <c r="V19" s="5"/>
      <c r="W19" s="20"/>
      <c r="X19" s="5"/>
      <c r="Y19" s="5"/>
      <c r="Z19" s="5"/>
      <c r="AA19" s="5"/>
    </row>
    <row r="20" spans="1:27" x14ac:dyDescent="0.25">
      <c r="A20" s="65" t="s">
        <v>89</v>
      </c>
      <c r="B20" s="57"/>
      <c r="C20" s="62"/>
      <c r="D20" s="63"/>
      <c r="E20" s="57"/>
      <c r="F20" s="57"/>
      <c r="G20" s="63"/>
      <c r="H20" s="63"/>
      <c r="I20" s="64"/>
      <c r="J20"/>
      <c r="K20" s="52"/>
      <c r="L20" s="52" t="s">
        <v>76</v>
      </c>
      <c r="M20" s="52" t="s">
        <v>70</v>
      </c>
      <c r="N20" s="55">
        <v>0.63821840337867675</v>
      </c>
      <c r="O20" s="53"/>
      <c r="P20" s="54" t="s">
        <v>71</v>
      </c>
      <c r="Q20" s="58">
        <v>0.57362883146213439</v>
      </c>
    </row>
    <row r="21" spans="1:27" x14ac:dyDescent="0.25">
      <c r="A21" s="66" t="s">
        <v>85</v>
      </c>
      <c r="B21" s="66"/>
      <c r="C21" s="62"/>
      <c r="D21" s="63"/>
      <c r="E21" s="57"/>
      <c r="F21" s="57"/>
      <c r="G21" s="63"/>
      <c r="H21" s="63"/>
      <c r="I21" s="64"/>
      <c r="J21"/>
      <c r="K21"/>
      <c r="L21" s="49" t="s">
        <v>77</v>
      </c>
      <c r="M21" s="32" t="s">
        <v>78</v>
      </c>
      <c r="N21" s="47" t="s">
        <v>79</v>
      </c>
      <c r="O21" s="27" t="s">
        <v>80</v>
      </c>
      <c r="P21"/>
      <c r="Q21"/>
    </row>
    <row r="22" spans="1:27" x14ac:dyDescent="0.25">
      <c r="A22" s="66" t="s">
        <v>86</v>
      </c>
      <c r="B22" s="57"/>
      <c r="C22" s="62"/>
      <c r="D22" s="63"/>
      <c r="E22" s="57"/>
      <c r="F22" s="57"/>
      <c r="G22" s="63"/>
      <c r="H22" s="63"/>
      <c r="I22" s="64"/>
      <c r="J22"/>
      <c r="K22"/>
      <c r="L22" s="48" t="s">
        <v>81</v>
      </c>
      <c r="M22" s="56">
        <f>N19-(1.5*Q20)</f>
        <v>-0.19006135427994819</v>
      </c>
      <c r="N22" s="50" t="s">
        <v>79</v>
      </c>
      <c r="O22" s="59">
        <f>N19+(1.5*Q20)</f>
        <v>1.530825140106455</v>
      </c>
      <c r="P22"/>
      <c r="Q22"/>
    </row>
    <row r="23" spans="1:27" x14ac:dyDescent="0.25">
      <c r="J23"/>
      <c r="K23"/>
      <c r="L23" s="48" t="s">
        <v>82</v>
      </c>
      <c r="M23" s="51">
        <v>0.63</v>
      </c>
      <c r="N23" s="57" t="s">
        <v>83</v>
      </c>
      <c r="O23"/>
      <c r="P23"/>
      <c r="Q23"/>
    </row>
    <row r="26" spans="1:27" x14ac:dyDescent="0.25">
      <c r="A26" t="s">
        <v>87</v>
      </c>
      <c r="C26"/>
      <c r="D26"/>
      <c r="G26"/>
      <c r="H26"/>
      <c r="I26"/>
      <c r="J26"/>
      <c r="K26"/>
      <c r="L26"/>
      <c r="M26"/>
      <c r="N26"/>
      <c r="O26"/>
      <c r="P26"/>
      <c r="Q26"/>
      <c r="R26"/>
      <c r="U26"/>
      <c r="W26"/>
    </row>
    <row r="27" spans="1:27" x14ac:dyDescent="0.25">
      <c r="A27" t="s">
        <v>34</v>
      </c>
      <c r="B27" t="s">
        <v>35</v>
      </c>
      <c r="C27" s="17">
        <v>45623</v>
      </c>
      <c r="D27" s="7">
        <v>160000</v>
      </c>
      <c r="E27" t="s">
        <v>29</v>
      </c>
      <c r="F27" t="s">
        <v>30</v>
      </c>
      <c r="G27" s="7">
        <v>160000</v>
      </c>
      <c r="H27" s="7">
        <v>80200</v>
      </c>
      <c r="I27" s="12">
        <f>H27/G27*100</f>
        <v>50.125</v>
      </c>
      <c r="J27" s="7">
        <v>127201</v>
      </c>
      <c r="K27" s="7">
        <v>110840</v>
      </c>
      <c r="L27" s="7">
        <f>G27-K27</f>
        <v>49160</v>
      </c>
      <c r="M27" s="7">
        <v>23711.594202898552</v>
      </c>
      <c r="N27" s="22">
        <f>L27/M27</f>
        <v>2.0732473565185501</v>
      </c>
      <c r="O27" s="27">
        <v>1116</v>
      </c>
      <c r="P27" s="32">
        <f>L27/O27</f>
        <v>44.050179211469533</v>
      </c>
      <c r="Q27" s="37" t="s">
        <v>31</v>
      </c>
      <c r="R27" s="42">
        <f t="shared" ref="R27" si="5">ABS($N$19-N27)*100</f>
        <v>140.28654636052966</v>
      </c>
      <c r="S27">
        <v>0</v>
      </c>
      <c r="U27" s="7">
        <v>110840</v>
      </c>
      <c r="V27" t="s">
        <v>32</v>
      </c>
      <c r="W27" s="17">
        <v>45811</v>
      </c>
      <c r="Y27" t="s">
        <v>33</v>
      </c>
      <c r="Z27">
        <v>101</v>
      </c>
      <c r="AA27">
        <v>14</v>
      </c>
    </row>
  </sheetData>
  <sortState xmlns:xlrd2="http://schemas.microsoft.com/office/spreadsheetml/2017/richdata2" ref="A4:AZ16">
    <sortCondition ref="N4:N16"/>
  </sortState>
  <conditionalFormatting sqref="A4:AA16">
    <cfRule type="expression" dxfId="3" priority="3" stopIfTrue="1">
      <formula>MOD(ROW(),4)&gt;1</formula>
    </cfRule>
    <cfRule type="expression" dxfId="2" priority="4" stopIfTrue="1">
      <formula>MOD(ROW(),4)&lt;2</formula>
    </cfRule>
  </conditionalFormatting>
  <conditionalFormatting sqref="A27:AA2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E.C.F.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Fowler, Nathan</dc:creator>
  <cp:lastModifiedBy>Fowler, Nathan</cp:lastModifiedBy>
  <dcterms:created xsi:type="dcterms:W3CDTF">2025-11-21T13:59:57Z</dcterms:created>
  <dcterms:modified xsi:type="dcterms:W3CDTF">2025-11-21T18:57:32Z</dcterms:modified>
</cp:coreProperties>
</file>